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ents\2023 Tax Year\SM - Oberg, Mike and Wendy\"/>
    </mc:Choice>
  </mc:AlternateContent>
  <xr:revisionPtr revIDLastSave="0" documentId="13_ncr:201_{974D24B6-25B3-4EA2-8D78-4C78C52E88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&amp;L" sheetId="1" r:id="rId1"/>
    <sheet name="BS" sheetId="2" r:id="rId2"/>
  </sheets>
  <calcPr calcId="0"/>
</workbook>
</file>

<file path=xl/calcChain.xml><?xml version="1.0" encoding="utf-8"?>
<calcChain xmlns="http://schemas.openxmlformats.org/spreadsheetml/2006/main">
  <c r="B35" i="2" l="1"/>
  <c r="B34" i="2"/>
  <c r="B33" i="2"/>
  <c r="B32" i="2"/>
  <c r="B36" i="2" s="1"/>
  <c r="B27" i="2"/>
  <c r="B28" i="2" s="1"/>
  <c r="B29" i="2" s="1"/>
  <c r="B30" i="2" s="1"/>
  <c r="B21" i="2"/>
  <c r="B20" i="2"/>
  <c r="B19" i="2"/>
  <c r="B18" i="2"/>
  <c r="B14" i="2"/>
  <c r="B15" i="2" s="1"/>
  <c r="B11" i="2"/>
  <c r="B10" i="2"/>
  <c r="B9" i="2"/>
  <c r="B12" i="2" s="1"/>
  <c r="B16" i="2" s="1"/>
  <c r="B22" i="2" s="1"/>
  <c r="F28" i="1"/>
  <c r="B46" i="1"/>
  <c r="B47" i="1" s="1"/>
  <c r="B48" i="1" s="1"/>
  <c r="B42" i="1"/>
  <c r="F27" i="1" s="1"/>
  <c r="B41" i="1"/>
  <c r="B40" i="1"/>
  <c r="B39" i="1"/>
  <c r="B38" i="1"/>
  <c r="F26" i="1" s="1"/>
  <c r="B37" i="1"/>
  <c r="B36" i="1"/>
  <c r="B35" i="1"/>
  <c r="B34" i="1"/>
  <c r="F24" i="1" s="1"/>
  <c r="B33" i="1"/>
  <c r="F23" i="1" s="1"/>
  <c r="B32" i="1"/>
  <c r="F22" i="1" s="1"/>
  <c r="B31" i="1"/>
  <c r="B30" i="1"/>
  <c r="B29" i="1"/>
  <c r="F21" i="1" s="1"/>
  <c r="B28" i="1"/>
  <c r="F20" i="1" s="1"/>
  <c r="B27" i="1"/>
  <c r="F19" i="1" s="1"/>
  <c r="B26" i="1"/>
  <c r="B25" i="1"/>
  <c r="F18" i="1" s="1"/>
  <c r="B24" i="1"/>
  <c r="B23" i="1"/>
  <c r="B22" i="1"/>
  <c r="B21" i="1"/>
  <c r="F16" i="1" s="1"/>
  <c r="B20" i="1"/>
  <c r="F15" i="1" s="1"/>
  <c r="B15" i="1"/>
  <c r="F10" i="1" s="1"/>
  <c r="B14" i="1"/>
  <c r="B13" i="1"/>
  <c r="B12" i="1"/>
  <c r="B8" i="1"/>
  <c r="B7" i="1"/>
  <c r="F7" i="1" s="1"/>
  <c r="F8" i="1" s="1"/>
  <c r="B37" i="2" l="1"/>
  <c r="F9" i="1"/>
  <c r="F11" i="1"/>
  <c r="F12" i="1" s="1"/>
  <c r="F17" i="1"/>
  <c r="F29" i="1" s="1"/>
  <c r="F25" i="1"/>
  <c r="B9" i="1"/>
  <c r="B43" i="1"/>
  <c r="B16" i="1"/>
  <c r="B17" i="1" s="1"/>
  <c r="F31" i="1" l="1"/>
  <c r="B18" i="1"/>
  <c r="B44" i="1" s="1"/>
  <c r="B49" i="1" s="1"/>
</calcChain>
</file>

<file path=xl/sharedStrings.xml><?xml version="1.0" encoding="utf-8"?>
<sst xmlns="http://schemas.openxmlformats.org/spreadsheetml/2006/main" count="141" uniqueCount="108">
  <si>
    <t>Total</t>
  </si>
  <si>
    <t>Income</t>
  </si>
  <si>
    <t xml:space="preserve">   Services</t>
  </si>
  <si>
    <t xml:space="preserve">   Yoga Studio Income</t>
  </si>
  <si>
    <t>Total Income</t>
  </si>
  <si>
    <t>Cost of Goods Sold</t>
  </si>
  <si>
    <t xml:space="preserve">   Cost of Goods Sold</t>
  </si>
  <si>
    <t xml:space="preserve">      Travel</t>
  </si>
  <si>
    <t xml:space="preserve">      Travel - Lodging</t>
  </si>
  <si>
    <t xml:space="preserve">      Travel - Retreat Expense</t>
  </si>
  <si>
    <t xml:space="preserve">      Yoga Studio Supplies</t>
  </si>
  <si>
    <t xml:space="preserve">   Total Cost of Goods Sold</t>
  </si>
  <si>
    <t>Total Cost of Goods Sold</t>
  </si>
  <si>
    <t>Gross Profit</t>
  </si>
  <si>
    <t>Expenses</t>
  </si>
  <si>
    <t xml:space="preserve">   Advertising &amp; Marketing</t>
  </si>
  <si>
    <t xml:space="preserve">   Automobile Expense</t>
  </si>
  <si>
    <t xml:space="preserve">   Bank Charges &amp; Fees</t>
  </si>
  <si>
    <t xml:space="preserve">   Cleaning &amp; Janitorial</t>
  </si>
  <si>
    <t xml:space="preserve">   Continuing Education</t>
  </si>
  <si>
    <t xml:space="preserve">   Contractors</t>
  </si>
  <si>
    <t xml:space="preserve">   Dues &amp; Subscriptions</t>
  </si>
  <si>
    <t xml:space="preserve">   Insurance</t>
  </si>
  <si>
    <t xml:space="preserve">   Legal &amp; Professional Services</t>
  </si>
  <si>
    <t xml:space="preserve">   Meals &amp; Entertainment</t>
  </si>
  <si>
    <t xml:space="preserve">   Merchant Fees</t>
  </si>
  <si>
    <t xml:space="preserve">   Music Royalty Fees</t>
  </si>
  <si>
    <t xml:space="preserve">   Office Supplies &amp; Software</t>
  </si>
  <si>
    <t xml:space="preserve">   Payroll Tax Expenses</t>
  </si>
  <si>
    <t xml:space="preserve">   Payroll Wage Expenses</t>
  </si>
  <si>
    <t xml:space="preserve">   Reimbursable Expenses</t>
  </si>
  <si>
    <t xml:space="preserve">   Rent &amp; Lease</t>
  </si>
  <si>
    <t xml:space="preserve">   Rent &amp; Lease - Eau Claire</t>
  </si>
  <si>
    <t xml:space="preserve">   Repairs &amp; Maintenance</t>
  </si>
  <si>
    <t xml:space="preserve">   Taxes &amp; Licenses</t>
  </si>
  <si>
    <t xml:space="preserve">   Team Building</t>
  </si>
  <si>
    <t xml:space="preserve">   Travel - Meals</t>
  </si>
  <si>
    <t xml:space="preserve">   Utilities</t>
  </si>
  <si>
    <t>Total Expenses</t>
  </si>
  <si>
    <t>Net Operating Income</t>
  </si>
  <si>
    <t>Other Expenses</t>
  </si>
  <si>
    <t xml:space="preserve">   Depreciation Expense</t>
  </si>
  <si>
    <t>Total Other Expenses</t>
  </si>
  <si>
    <t>Net Other Income</t>
  </si>
  <si>
    <t>Net Income</t>
  </si>
  <si>
    <t>The Yoga Room</t>
  </si>
  <si>
    <t>January - December 2023</t>
  </si>
  <si>
    <t>No assurance provided on these financial statements</t>
  </si>
  <si>
    <t>SALES</t>
  </si>
  <si>
    <t>ADVERTISING</t>
  </si>
  <si>
    <t>AUTO</t>
  </si>
  <si>
    <t>OTHER</t>
  </si>
  <si>
    <t>CONTRACT LABOR</t>
  </si>
  <si>
    <t>INSURANCE</t>
  </si>
  <si>
    <t>LEGAL &amp; PROFESSIONAL SERVICES</t>
  </si>
  <si>
    <t>MEALS</t>
  </si>
  <si>
    <t>OFFICE SUPPLIES</t>
  </si>
  <si>
    <t>TAXES</t>
  </si>
  <si>
    <t>WAGES</t>
  </si>
  <si>
    <t>RENT</t>
  </si>
  <si>
    <t>REPAIRS</t>
  </si>
  <si>
    <t>UTILITIES</t>
  </si>
  <si>
    <t>DEPRECIATION</t>
  </si>
  <si>
    <t>UT LOCATION</t>
  </si>
  <si>
    <t>AMOUNT</t>
  </si>
  <si>
    <t>TOTAL SALES</t>
  </si>
  <si>
    <t>COGS - YOGA RETREAT EXP</t>
  </si>
  <si>
    <t>COGS - PURCHASES</t>
  </si>
  <si>
    <t>TOTAL COGS</t>
  </si>
  <si>
    <t>GROSS MARGIN</t>
  </si>
  <si>
    <t>EXPENSES</t>
  </si>
  <si>
    <t>TOTAL EXPENSES</t>
  </si>
  <si>
    <t>NET INCOME</t>
  </si>
  <si>
    <t>As of December 31, 2023</t>
  </si>
  <si>
    <t>ASSETS</t>
  </si>
  <si>
    <t xml:space="preserve">   Current Assets</t>
  </si>
  <si>
    <t xml:space="preserve">      Bank Accounts</t>
  </si>
  <si>
    <t xml:space="preserve">         Charter Bank - Teletek</t>
  </si>
  <si>
    <t xml:space="preserve">         Charter Bank - The Yoga Room</t>
  </si>
  <si>
    <t xml:space="preserve">         Nicolet Bank 5203 - 1</t>
  </si>
  <si>
    <t xml:space="preserve">      Total Bank Accounts</t>
  </si>
  <si>
    <t xml:space="preserve">      Other Current Assets</t>
  </si>
  <si>
    <t xml:space="preserve">         Inventory Asset</t>
  </si>
  <si>
    <t xml:space="preserve">      Total Other Current Assets</t>
  </si>
  <si>
    <t xml:space="preserve">   Total Current Assets</t>
  </si>
  <si>
    <t xml:space="preserve">   Fixed Assets</t>
  </si>
  <si>
    <t xml:space="preserve">      Accumulated Depreciation</t>
  </si>
  <si>
    <t xml:space="preserve">      Building Improvements</t>
  </si>
  <si>
    <t xml:space="preserve">      Furniture &amp; Equipment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</si>
  <si>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</si>
  <si>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</si>
  <si>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</si>
  <si>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</si>
  <si>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</si>
  <si>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Other Current Liabilities</t>
  </si>
  <si>
    <t xml:space="preserve">            Taxes Payable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</si>
  <si>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</si>
  <si>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</si>
  <si>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</si>
  <si>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</si>
  <si>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Owner's Investment</t>
  </si>
  <si>
    <t xml:space="preserve">      Owner's Pay &amp; Personal Expenses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</si>
  <si>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</si>
  <si>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</si>
  <si>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</si>
  <si>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</si>
  <si>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Statement of Assets, Liabilities, &amp; Equity - Cash Basis</t>
  </si>
  <si>
    <t>Statement of Revenues &amp; Expenses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</si>
</sst>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\ _€"/>
    <numFmt numFmtId="165" formatCode="&quot;$&quot;* #,##0.00\ _€"/>
  </numFmts>
  <fonts count="14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0" fillId="0" borderId="0" xfId="1" applyFont="1"/>
    <xf numFmtId="0" fontId="0" fillId="0" borderId="0" xfId="0"/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43" fontId="0" fillId="0" borderId="0" xfId="0" applyNumberFormat="1"/>
    <xf numFmtId="43" fontId="11" fillId="0" borderId="0" xfId="1" applyFont="1" applyFill="1" applyAlignment="1">
      <alignment horizontal="left"/>
    </xf>
    <xf numFmtId="0" fontId="0" fillId="0" borderId="0" xfId="0" applyFill="1" applyBorder="1"/>
    <xf numFmtId="0" fontId="0" fillId="0" borderId="1" xfId="0" applyBorder="1"/>
    <xf numFmtId="43" fontId="0" fillId="0" borderId="1" xfId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1" xfId="1" applyFont="1" applyBorder="1"/>
    <xf numFmtId="43" fontId="13" fillId="0" borderId="0" xfId="1" applyFont="1" applyFill="1" applyBorder="1"/>
    <xf numFmtId="43" fontId="13" fillId="0" borderId="0" xfId="0" applyNumberFormat="1" applyFont="1"/>
    <xf numFmtId="0" fontId="12" fillId="0" borderId="0" xfId="0" applyFont="1" applyAlignment="1">
      <alignment horizontal="center"/>
    </xf>
    <xf numFmtId="164" fontId="11" fillId="0" borderId="0" xfId="0" applyNumberFormat="1" applyFont="1" applyAlignment="1">
      <alignment horizontal="right" wrapText="1"/>
    </xf>
    <xf numFmtId="165" fontId="10" fillId="0" borderId="3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workbookViewId="0">
      <selection activeCell="H14" sqref="H14"/>
    </sheetView>
  </sheetViews>
  <sheetFormatPr defaultRowHeight="15" x14ac:dyDescent="0.25"/>
  <cols>
    <col min="1" max="1" width="65.85546875" customWidth="1"/>
    <col min="2" max="2" width="13.7109375" customWidth="1"/>
    <col min="3" max="3" width="28.140625" bestFit="1" customWidth="1"/>
    <col min="4" max="4" width="3" customWidth="1"/>
    <col min="5" max="5" width="28.140625" style="14" bestFit="1" customWidth="1"/>
    <col min="6" max="6" width="13.28515625" bestFit="1" customWidth="1"/>
  </cols>
  <sheetData>
    <row r="1" spans="1:6" ht="18" x14ac:dyDescent="0.25">
      <c r="A1" s="9" t="s">
        <v>45</v>
      </c>
      <c r="B1" s="8"/>
    </row>
    <row r="2" spans="1:6" ht="18" x14ac:dyDescent="0.25">
      <c r="A2" s="31" t="s">
        <v>107</v>
      </c>
      <c r="B2" s="8"/>
    </row>
    <row r="3" spans="1:6" x14ac:dyDescent="0.25">
      <c r="A3" s="10" t="s">
        <v>46</v>
      </c>
      <c r="B3" s="8"/>
    </row>
    <row r="5" spans="1:6" x14ac:dyDescent="0.25">
      <c r="A5" s="1"/>
      <c r="B5" s="2" t="s">
        <v>0</v>
      </c>
      <c r="E5" s="24" t="s">
        <v>63</v>
      </c>
      <c r="F5" s="24" t="s">
        <v>64</v>
      </c>
    </row>
    <row r="6" spans="1:6" x14ac:dyDescent="0.25">
      <c r="A6" s="3" t="s">
        <v>1</v>
      </c>
      <c r="B6" s="4"/>
    </row>
    <row r="7" spans="1:6" x14ac:dyDescent="0.25">
      <c r="A7" s="3" t="s">
        <v>2</v>
      </c>
      <c r="B7" s="5">
        <f>3245</f>
        <v>3245</v>
      </c>
      <c r="C7" t="s">
        <v>48</v>
      </c>
      <c r="E7" s="24" t="s">
        <v>48</v>
      </c>
      <c r="F7" s="28">
        <f>SUMIF($C:$C,E7,$B:$B)</f>
        <v>1408764.05</v>
      </c>
    </row>
    <row r="8" spans="1:6" x14ac:dyDescent="0.25">
      <c r="A8" s="3" t="s">
        <v>3</v>
      </c>
      <c r="B8" s="5">
        <f>1405519.05</f>
        <v>1405519.05</v>
      </c>
      <c r="C8" t="s">
        <v>48</v>
      </c>
      <c r="E8" s="14" t="s">
        <v>65</v>
      </c>
      <c r="F8" s="19">
        <f>SUM(F7)</f>
        <v>1408764.05</v>
      </c>
    </row>
    <row r="9" spans="1:6" x14ac:dyDescent="0.25">
      <c r="A9" s="3" t="s">
        <v>4</v>
      </c>
      <c r="B9" s="6">
        <f>(B7)+(B8)</f>
        <v>1408764.05</v>
      </c>
      <c r="E9" s="14" t="s">
        <v>66</v>
      </c>
      <c r="F9" s="13">
        <f>SUMIF($C:$C,E9,$B:$B)</f>
        <v>313996.33</v>
      </c>
    </row>
    <row r="10" spans="1:6" x14ac:dyDescent="0.25">
      <c r="A10" s="3" t="s">
        <v>5</v>
      </c>
      <c r="B10" s="4"/>
      <c r="E10" s="14" t="s">
        <v>67</v>
      </c>
      <c r="F10" s="13">
        <f>SUMIF($C:$C,E10,$B:$B)</f>
        <v>54042.75</v>
      </c>
    </row>
    <row r="11" spans="1:6" x14ac:dyDescent="0.25">
      <c r="A11" s="3" t="s">
        <v>6</v>
      </c>
      <c r="B11" s="4"/>
      <c r="E11" s="22" t="s">
        <v>68</v>
      </c>
      <c r="F11" s="23">
        <f>SUM(F9:F10)</f>
        <v>368039.08</v>
      </c>
    </row>
    <row r="12" spans="1:6" x14ac:dyDescent="0.25">
      <c r="A12" s="3" t="s">
        <v>7</v>
      </c>
      <c r="B12" s="5">
        <f>13153.95</f>
        <v>13153.95</v>
      </c>
      <c r="C12" t="s">
        <v>66</v>
      </c>
      <c r="E12" s="21" t="s">
        <v>69</v>
      </c>
      <c r="F12" s="13">
        <f>F8-F11</f>
        <v>1040724.97</v>
      </c>
    </row>
    <row r="13" spans="1:6" x14ac:dyDescent="0.25">
      <c r="A13" s="3" t="s">
        <v>8</v>
      </c>
      <c r="B13" s="5">
        <f>77592</f>
        <v>77592</v>
      </c>
      <c r="C13" s="14" t="s">
        <v>66</v>
      </c>
      <c r="E13" s="21"/>
      <c r="F13" s="13"/>
    </row>
    <row r="14" spans="1:6" x14ac:dyDescent="0.25">
      <c r="A14" s="3" t="s">
        <v>9</v>
      </c>
      <c r="B14" s="5">
        <f>223250.38</f>
        <v>223250.38</v>
      </c>
      <c r="C14" s="14" t="s">
        <v>66</v>
      </c>
      <c r="E14" s="25" t="s">
        <v>70</v>
      </c>
      <c r="F14" s="23"/>
    </row>
    <row r="15" spans="1:6" x14ac:dyDescent="0.25">
      <c r="A15" s="3" t="s">
        <v>10</v>
      </c>
      <c r="B15" s="5">
        <f>54042.75</f>
        <v>54042.75</v>
      </c>
      <c r="C15" t="s">
        <v>67</v>
      </c>
      <c r="E15" s="14" t="s">
        <v>49</v>
      </c>
      <c r="F15" s="13">
        <f t="shared" ref="F15:F29" si="0">SUMIF($C:$C,E15,$B:$B)</f>
        <v>4535</v>
      </c>
    </row>
    <row r="16" spans="1:6" x14ac:dyDescent="0.25">
      <c r="A16" s="3" t="s">
        <v>11</v>
      </c>
      <c r="B16" s="6">
        <f>((((B11)+(B12))+(B13))+(B14))+(B15)</f>
        <v>368039.08</v>
      </c>
      <c r="E16" s="14" t="s">
        <v>50</v>
      </c>
      <c r="F16" s="13">
        <f t="shared" si="0"/>
        <v>4028.33</v>
      </c>
    </row>
    <row r="17" spans="1:6" x14ac:dyDescent="0.25">
      <c r="A17" s="3" t="s">
        <v>12</v>
      </c>
      <c r="B17" s="6">
        <f>B16</f>
        <v>368039.08</v>
      </c>
      <c r="E17" s="14" t="s">
        <v>51</v>
      </c>
      <c r="F17" s="13">
        <f t="shared" si="0"/>
        <v>43677.819999999992</v>
      </c>
    </row>
    <row r="18" spans="1:6" x14ac:dyDescent="0.25">
      <c r="A18" s="3" t="s">
        <v>13</v>
      </c>
      <c r="B18" s="6">
        <f>(B9)-(B17)</f>
        <v>1040724.97</v>
      </c>
      <c r="E18" s="14" t="s">
        <v>52</v>
      </c>
      <c r="F18" s="13">
        <f t="shared" si="0"/>
        <v>10421.459999999999</v>
      </c>
    </row>
    <row r="19" spans="1:6" x14ac:dyDescent="0.25">
      <c r="A19" s="3" t="s">
        <v>14</v>
      </c>
      <c r="B19" s="4"/>
      <c r="E19" s="14" t="s">
        <v>53</v>
      </c>
      <c r="F19" s="13">
        <f t="shared" si="0"/>
        <v>9330.57</v>
      </c>
    </row>
    <row r="20" spans="1:6" x14ac:dyDescent="0.25">
      <c r="A20" s="3" t="s">
        <v>15</v>
      </c>
      <c r="B20" s="5">
        <f>4535</f>
        <v>4535</v>
      </c>
      <c r="C20" s="20" t="s">
        <v>49</v>
      </c>
      <c r="E20" s="14" t="s">
        <v>54</v>
      </c>
      <c r="F20" s="13">
        <f t="shared" si="0"/>
        <v>5000</v>
      </c>
    </row>
    <row r="21" spans="1:6" x14ac:dyDescent="0.25">
      <c r="A21" s="3" t="s">
        <v>16</v>
      </c>
      <c r="B21" s="5">
        <f>4028.33</f>
        <v>4028.33</v>
      </c>
      <c r="C21" s="20" t="s">
        <v>50</v>
      </c>
      <c r="E21" s="14" t="s">
        <v>55</v>
      </c>
      <c r="F21" s="13">
        <f t="shared" si="0"/>
        <v>8562.09</v>
      </c>
    </row>
    <row r="22" spans="1:6" x14ac:dyDescent="0.25">
      <c r="A22" s="3" t="s">
        <v>17</v>
      </c>
      <c r="B22" s="5">
        <f>24.71</f>
        <v>24.71</v>
      </c>
      <c r="C22" s="20" t="s">
        <v>51</v>
      </c>
      <c r="E22" s="14" t="s">
        <v>56</v>
      </c>
      <c r="F22" s="13">
        <f t="shared" si="0"/>
        <v>23692.12</v>
      </c>
    </row>
    <row r="23" spans="1:6" x14ac:dyDescent="0.25">
      <c r="A23" s="3" t="s">
        <v>18</v>
      </c>
      <c r="B23" s="5">
        <f>11208.64</f>
        <v>11208.64</v>
      </c>
      <c r="C23" s="20" t="s">
        <v>51</v>
      </c>
      <c r="E23" s="14" t="s">
        <v>57</v>
      </c>
      <c r="F23" s="13">
        <f t="shared" si="0"/>
        <v>100499.38</v>
      </c>
    </row>
    <row r="24" spans="1:6" x14ac:dyDescent="0.25">
      <c r="A24" s="3" t="s">
        <v>19</v>
      </c>
      <c r="B24" s="5">
        <f>20392.66</f>
        <v>20392.66</v>
      </c>
      <c r="C24" s="20" t="s">
        <v>51</v>
      </c>
      <c r="E24" s="14" t="s">
        <v>58</v>
      </c>
      <c r="F24" s="13">
        <f t="shared" si="0"/>
        <v>313305.03999999998</v>
      </c>
    </row>
    <row r="25" spans="1:6" x14ac:dyDescent="0.25">
      <c r="A25" s="3" t="s">
        <v>20</v>
      </c>
      <c r="B25" s="5">
        <f>10421.46</f>
        <v>10421.459999999999</v>
      </c>
      <c r="C25" s="20" t="s">
        <v>52</v>
      </c>
      <c r="E25" s="14" t="s">
        <v>59</v>
      </c>
      <c r="F25" s="13">
        <f t="shared" si="0"/>
        <v>256748.79999999999</v>
      </c>
    </row>
    <row r="26" spans="1:6" x14ac:dyDescent="0.25">
      <c r="A26" s="3" t="s">
        <v>21</v>
      </c>
      <c r="B26" s="5">
        <f>5396.66</f>
        <v>5396.66</v>
      </c>
      <c r="C26" s="20" t="s">
        <v>51</v>
      </c>
      <c r="E26" s="14" t="s">
        <v>60</v>
      </c>
      <c r="F26" s="13">
        <f t="shared" si="0"/>
        <v>5818.48</v>
      </c>
    </row>
    <row r="27" spans="1:6" x14ac:dyDescent="0.25">
      <c r="A27" s="3" t="s">
        <v>22</v>
      </c>
      <c r="B27" s="5">
        <f>9330.57</f>
        <v>9330.57</v>
      </c>
      <c r="C27" s="20" t="s">
        <v>53</v>
      </c>
      <c r="E27" s="14" t="s">
        <v>61</v>
      </c>
      <c r="F27" s="13">
        <f t="shared" si="0"/>
        <v>20572.689999999999</v>
      </c>
    </row>
    <row r="28" spans="1:6" x14ac:dyDescent="0.25">
      <c r="A28" s="3" t="s">
        <v>23</v>
      </c>
      <c r="B28" s="5">
        <f>5000</f>
        <v>5000</v>
      </c>
      <c r="C28" s="20" t="s">
        <v>54</v>
      </c>
      <c r="E28" s="22" t="s">
        <v>62</v>
      </c>
      <c r="F28" s="23">
        <f t="shared" si="0"/>
        <v>17601.96</v>
      </c>
    </row>
    <row r="29" spans="1:6" x14ac:dyDescent="0.25">
      <c r="A29" s="3" t="s">
        <v>24</v>
      </c>
      <c r="B29" s="5">
        <f>1245.25</f>
        <v>1245.25</v>
      </c>
      <c r="C29" s="20" t="s">
        <v>55</v>
      </c>
      <c r="E29" s="26" t="s">
        <v>71</v>
      </c>
      <c r="F29" s="29">
        <f>SUM(F15:F28)</f>
        <v>823793.73999999976</v>
      </c>
    </row>
    <row r="30" spans="1:6" x14ac:dyDescent="0.25">
      <c r="A30" s="3" t="s">
        <v>25</v>
      </c>
      <c r="B30" s="5">
        <f>1186.63</f>
        <v>1186.6300000000001</v>
      </c>
      <c r="C30" s="20" t="s">
        <v>51</v>
      </c>
      <c r="E30" s="22"/>
      <c r="F30" s="22"/>
    </row>
    <row r="31" spans="1:6" x14ac:dyDescent="0.25">
      <c r="A31" s="3" t="s">
        <v>26</v>
      </c>
      <c r="B31" s="5">
        <f>1643.52</f>
        <v>1643.52</v>
      </c>
      <c r="C31" s="20" t="s">
        <v>51</v>
      </c>
      <c r="E31" s="27" t="s">
        <v>72</v>
      </c>
      <c r="F31" s="30">
        <f>F12-F29</f>
        <v>216931.23000000021</v>
      </c>
    </row>
    <row r="32" spans="1:6" x14ac:dyDescent="0.25">
      <c r="A32" s="3" t="s">
        <v>27</v>
      </c>
      <c r="B32" s="5">
        <f>23692.12</f>
        <v>23692.12</v>
      </c>
      <c r="C32" s="20" t="s">
        <v>56</v>
      </c>
      <c r="E32"/>
    </row>
    <row r="33" spans="1:5" x14ac:dyDescent="0.25">
      <c r="A33" s="3" t="s">
        <v>28</v>
      </c>
      <c r="B33" s="5">
        <f>88169.21</f>
        <v>88169.21</v>
      </c>
      <c r="C33" s="20" t="s">
        <v>57</v>
      </c>
      <c r="E33"/>
    </row>
    <row r="34" spans="1:5" x14ac:dyDescent="0.25">
      <c r="A34" s="3" t="s">
        <v>29</v>
      </c>
      <c r="B34" s="5">
        <f>313305.04</f>
        <v>313305.03999999998</v>
      </c>
      <c r="C34" s="20" t="s">
        <v>58</v>
      </c>
      <c r="E34"/>
    </row>
    <row r="35" spans="1:5" x14ac:dyDescent="0.25">
      <c r="A35" s="3" t="s">
        <v>30</v>
      </c>
      <c r="B35" s="5">
        <f>3650</f>
        <v>3650</v>
      </c>
      <c r="C35" s="20" t="s">
        <v>51</v>
      </c>
      <c r="E35"/>
    </row>
    <row r="36" spans="1:5" x14ac:dyDescent="0.25">
      <c r="A36" s="3" t="s">
        <v>31</v>
      </c>
      <c r="B36" s="5">
        <f>191076.12</f>
        <v>191076.12</v>
      </c>
      <c r="C36" s="20" t="s">
        <v>59</v>
      </c>
      <c r="E36"/>
    </row>
    <row r="37" spans="1:5" x14ac:dyDescent="0.25">
      <c r="A37" s="3" t="s">
        <v>32</v>
      </c>
      <c r="B37" s="5">
        <f>65672.68</f>
        <v>65672.679999999993</v>
      </c>
      <c r="C37" s="20" t="s">
        <v>59</v>
      </c>
      <c r="E37"/>
    </row>
    <row r="38" spans="1:5" x14ac:dyDescent="0.25">
      <c r="A38" s="3" t="s">
        <v>33</v>
      </c>
      <c r="B38" s="5">
        <f>5818.48</f>
        <v>5818.48</v>
      </c>
      <c r="C38" s="20" t="s">
        <v>60</v>
      </c>
      <c r="E38"/>
    </row>
    <row r="39" spans="1:5" x14ac:dyDescent="0.25">
      <c r="A39" s="3" t="s">
        <v>34</v>
      </c>
      <c r="B39" s="5">
        <f>12330.17</f>
        <v>12330.17</v>
      </c>
      <c r="C39" s="20" t="s">
        <v>57</v>
      </c>
      <c r="E39"/>
    </row>
    <row r="40" spans="1:5" x14ac:dyDescent="0.25">
      <c r="A40" s="3" t="s">
        <v>35</v>
      </c>
      <c r="B40" s="5">
        <f>175</f>
        <v>175</v>
      </c>
      <c r="C40" s="20" t="s">
        <v>51</v>
      </c>
      <c r="E40"/>
    </row>
    <row r="41" spans="1:5" x14ac:dyDescent="0.25">
      <c r="A41" s="3" t="s">
        <v>36</v>
      </c>
      <c r="B41" s="5">
        <f>7316.84</f>
        <v>7316.84</v>
      </c>
      <c r="C41" s="20" t="s">
        <v>55</v>
      </c>
      <c r="E41"/>
    </row>
    <row r="42" spans="1:5" x14ac:dyDescent="0.25">
      <c r="A42" s="3" t="s">
        <v>37</v>
      </c>
      <c r="B42" s="5">
        <f>20572.69</f>
        <v>20572.689999999999</v>
      </c>
      <c r="C42" s="20" t="s">
        <v>61</v>
      </c>
      <c r="E42"/>
    </row>
    <row r="43" spans="1:5" x14ac:dyDescent="0.25">
      <c r="A43" s="3" t="s">
        <v>38</v>
      </c>
      <c r="B43" s="6">
        <f>((((((((((((((((((((((B20)+(B21))+(B22))+(B23))+(B24))+(B25))+(B26))+(B27))+(B28))+(B29))+(B30))+(B31))+(B32))+(B33))+(B34))+(B35))+(B36))+(B37))+(B38))+(B39))+(B40))+(B41))+(B42)</f>
        <v>806191.7799999998</v>
      </c>
      <c r="E43"/>
    </row>
    <row r="44" spans="1:5" x14ac:dyDescent="0.25">
      <c r="A44" s="3" t="s">
        <v>39</v>
      </c>
      <c r="B44" s="6">
        <f>(B18)-(B43)</f>
        <v>234533.19000000018</v>
      </c>
      <c r="E44"/>
    </row>
    <row r="45" spans="1:5" x14ac:dyDescent="0.25">
      <c r="A45" s="3" t="s">
        <v>40</v>
      </c>
      <c r="B45" s="4"/>
      <c r="E45"/>
    </row>
    <row r="46" spans="1:5" x14ac:dyDescent="0.25">
      <c r="A46" s="3" t="s">
        <v>41</v>
      </c>
      <c r="B46" s="5">
        <f>17601.96</f>
        <v>17601.96</v>
      </c>
      <c r="C46" t="s">
        <v>62</v>
      </c>
      <c r="E46"/>
    </row>
    <row r="47" spans="1:5" x14ac:dyDescent="0.25">
      <c r="A47" s="3" t="s">
        <v>42</v>
      </c>
      <c r="B47" s="6">
        <f>B46</f>
        <v>17601.96</v>
      </c>
      <c r="E47"/>
    </row>
    <row r="48" spans="1:5" x14ac:dyDescent="0.25">
      <c r="A48" s="3" t="s">
        <v>43</v>
      </c>
      <c r="B48" s="6">
        <f>(0)-(B47)</f>
        <v>-17601.96</v>
      </c>
      <c r="E48"/>
    </row>
    <row r="49" spans="1:5" x14ac:dyDescent="0.25">
      <c r="A49" s="3" t="s">
        <v>44</v>
      </c>
      <c r="B49" s="7">
        <f>(B44)+(B48)</f>
        <v>216931.23000000019</v>
      </c>
      <c r="E49"/>
    </row>
    <row r="50" spans="1:5" x14ac:dyDescent="0.25">
      <c r="A50" s="3"/>
      <c r="B50" s="4"/>
      <c r="E50"/>
    </row>
    <row r="51" spans="1:5" x14ac:dyDescent="0.25">
      <c r="E51"/>
    </row>
    <row r="52" spans="1:5" x14ac:dyDescent="0.25">
      <c r="E52"/>
    </row>
    <row r="53" spans="1:5" x14ac:dyDescent="0.25">
      <c r="A53" s="11" t="s">
        <v>47</v>
      </c>
      <c r="B53" s="12"/>
      <c r="E53"/>
    </row>
    <row r="54" spans="1:5" x14ac:dyDescent="0.25">
      <c r="E54"/>
    </row>
    <row r="55" spans="1:5" x14ac:dyDescent="0.25">
      <c r="E55"/>
    </row>
    <row r="56" spans="1:5" x14ac:dyDescent="0.25">
      <c r="E56"/>
    </row>
    <row r="57" spans="1:5" x14ac:dyDescent="0.25">
      <c r="E57"/>
    </row>
    <row r="58" spans="1:5" x14ac:dyDescent="0.25">
      <c r="E58"/>
    </row>
    <row r="59" spans="1:5" x14ac:dyDescent="0.25">
      <c r="E59"/>
    </row>
    <row r="60" spans="1:5" x14ac:dyDescent="0.25">
      <c r="E60"/>
    </row>
  </sheetData>
  <mergeCells count="4">
    <mergeCell ref="A2:B2"/>
    <mergeCell ref="A1:B1"/>
    <mergeCell ref="A3:B3"/>
    <mergeCell ref="A53:B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6545-0BC3-411E-BC1C-0F05E1F2FDE0}">
  <dimension ref="A1:B41"/>
  <sheetViews>
    <sheetView workbookViewId="0">
      <selection activeCell="A10" sqref="A10"/>
    </sheetView>
  </sheetViews>
  <sheetFormatPr defaultRowHeight="15" x14ac:dyDescent="0.25"/>
  <cols>
    <col min="1" max="1" width="70" style="14" customWidth="1"/>
    <col min="2" max="2" width="10.42578125" style="14" bestFit="1" customWidth="1"/>
  </cols>
  <sheetData>
    <row r="1" spans="1:2" ht="18" x14ac:dyDescent="0.25">
      <c r="A1" s="31" t="s">
        <v>45</v>
      </c>
      <c r="B1" s="8"/>
    </row>
    <row r="2" spans="1:2" ht="18" x14ac:dyDescent="0.25">
      <c r="A2" s="31" t="s">
        <v>106</v>
      </c>
      <c r="B2" s="8"/>
    </row>
    <row r="3" spans="1:2" x14ac:dyDescent="0.25">
      <c r="A3" s="11" t="s">
        <v>73</v>
      </c>
      <c r="B3" s="8"/>
    </row>
    <row r="5" spans="1:2" x14ac:dyDescent="0.25">
      <c r="A5" s="15"/>
      <c r="B5" s="16" t="s">
        <v>0</v>
      </c>
    </row>
    <row r="6" spans="1:2" x14ac:dyDescent="0.25">
      <c r="A6" s="17" t="s">
        <v>74</v>
      </c>
      <c r="B6" s="18"/>
    </row>
    <row r="7" spans="1:2" x14ac:dyDescent="0.25">
      <c r="A7" s="17" t="s">
        <v>75</v>
      </c>
      <c r="B7" s="18"/>
    </row>
    <row r="8" spans="1:2" x14ac:dyDescent="0.25">
      <c r="A8" s="17" t="s">
        <v>76</v>
      </c>
      <c r="B8" s="18"/>
    </row>
    <row r="9" spans="1:2" x14ac:dyDescent="0.25">
      <c r="A9" s="17" t="s">
        <v>77</v>
      </c>
      <c r="B9" s="32">
        <f>7733.17</f>
        <v>7733.17</v>
      </c>
    </row>
    <row r="10" spans="1:2" x14ac:dyDescent="0.25">
      <c r="A10" s="17" t="s">
        <v>78</v>
      </c>
      <c r="B10" s="32">
        <f>0</f>
        <v>0</v>
      </c>
    </row>
    <row r="11" spans="1:2" x14ac:dyDescent="0.25">
      <c r="A11" s="17" t="s">
        <v>79</v>
      </c>
      <c r="B11" s="32">
        <f>146045.32</f>
        <v>146045.32</v>
      </c>
    </row>
    <row r="12" spans="1:2" x14ac:dyDescent="0.25">
      <c r="A12" s="17" t="s">
        <v>80</v>
      </c>
      <c r="B12" s="33">
        <f>((B9)+(B10))+(B11)</f>
        <v>153778.49000000002</v>
      </c>
    </row>
    <row r="13" spans="1:2" x14ac:dyDescent="0.25">
      <c r="A13" s="17" t="s">
        <v>81</v>
      </c>
      <c r="B13" s="18"/>
    </row>
    <row r="14" spans="1:2" x14ac:dyDescent="0.25">
      <c r="A14" s="17" t="s">
        <v>82</v>
      </c>
      <c r="B14" s="32">
        <f>25467.8</f>
        <v>25467.8</v>
      </c>
    </row>
    <row r="15" spans="1:2" x14ac:dyDescent="0.25">
      <c r="A15" s="17" t="s">
        <v>83</v>
      </c>
      <c r="B15" s="33">
        <f>B14</f>
        <v>25467.8</v>
      </c>
    </row>
    <row r="16" spans="1:2" x14ac:dyDescent="0.25">
      <c r="A16" s="17" t="s">
        <v>84</v>
      </c>
      <c r="B16" s="33">
        <f>(B12)+(B15)</f>
        <v>179246.29</v>
      </c>
    </row>
    <row r="17" spans="1:2" x14ac:dyDescent="0.25">
      <c r="A17" s="17" t="s">
        <v>85</v>
      </c>
      <c r="B17" s="18"/>
    </row>
    <row r="18" spans="1:2" x14ac:dyDescent="0.25">
      <c r="A18" s="17" t="s">
        <v>86</v>
      </c>
      <c r="B18" s="32">
        <f>-229742.54</f>
        <v>-229742.54</v>
      </c>
    </row>
    <row r="19" spans="1:2" x14ac:dyDescent="0.25">
      <c r="A19" s="17" t="s">
        <v>87</v>
      </c>
      <c r="B19" s="32">
        <f>147635.95</f>
        <v>147635.95000000001</v>
      </c>
    </row>
    <row r="20" spans="1:2" x14ac:dyDescent="0.25">
      <c r="A20" s="17" t="s">
        <v>88</v>
      </c>
      <c r="B20" s="32">
        <f>91964.02</f>
        <v>91964.02</v>
      </c>
    </row>
    <row r="21" spans="1:2" x14ac:dyDescent="0.25">
      <c r="A21" s="17" t="s">
        <v>89</v>
      </c>
      <c r="B21" s="33">
        <f>((B18)+(B19))+(B20)</f>
        <v>9857.4300000000076</v>
      </c>
    </row>
    <row r="22" spans="1:2" x14ac:dyDescent="0.25">
      <c r="A22" s="17" t="s">
        <v>90</v>
      </c>
      <c r="B22" s="33">
        <f>(B16)+(B21)</f>
        <v>189103.72000000003</v>
      </c>
    </row>
    <row r="23" spans="1:2" x14ac:dyDescent="0.25">
      <c r="A23" s="17" t="s">
        <v>91</v>
      </c>
      <c r="B23" s="18"/>
    </row>
    <row r="24" spans="1:2" x14ac:dyDescent="0.25">
      <c r="A24" s="17" t="s">
        <v>92</v>
      </c>
      <c r="B24" s="18"/>
    </row>
    <row r="25" spans="1:2" x14ac:dyDescent="0.25">
      <c r="A25" s="17" t="s">
        <v>93</v>
      </c>
      <c r="B25" s="18"/>
    </row>
    <row r="26" spans="1:2" x14ac:dyDescent="0.25">
      <c r="A26" s="17" t="s">
        <v>94</v>
      </c>
      <c r="B26" s="18"/>
    </row>
    <row r="27" spans="1:2" x14ac:dyDescent="0.25">
      <c r="A27" s="17" t="s">
        <v>95</v>
      </c>
      <c r="B27" s="32">
        <f>0</f>
        <v>0</v>
      </c>
    </row>
    <row r="28" spans="1:2" x14ac:dyDescent="0.25">
      <c r="A28" s="17" t="s">
        <v>96</v>
      </c>
      <c r="B28" s="33">
        <f>B27</f>
        <v>0</v>
      </c>
    </row>
    <row r="29" spans="1:2" x14ac:dyDescent="0.25">
      <c r="A29" s="17" t="s">
        <v>97</v>
      </c>
      <c r="B29" s="33">
        <f>B28</f>
        <v>0</v>
      </c>
    </row>
    <row r="30" spans="1:2" x14ac:dyDescent="0.25">
      <c r="A30" s="17" t="s">
        <v>98</v>
      </c>
      <c r="B30" s="33">
        <f>B29</f>
        <v>0</v>
      </c>
    </row>
    <row r="31" spans="1:2" x14ac:dyDescent="0.25">
      <c r="A31" s="17" t="s">
        <v>99</v>
      </c>
      <c r="B31" s="18"/>
    </row>
    <row r="32" spans="1:2" x14ac:dyDescent="0.25">
      <c r="A32" s="17" t="s">
        <v>100</v>
      </c>
      <c r="B32" s="32">
        <f>423968.06</f>
        <v>423968.06</v>
      </c>
    </row>
    <row r="33" spans="1:2" x14ac:dyDescent="0.25">
      <c r="A33" s="17" t="s">
        <v>101</v>
      </c>
      <c r="B33" s="32">
        <f>-469762.49</f>
        <v>-469762.49</v>
      </c>
    </row>
    <row r="34" spans="1:2" x14ac:dyDescent="0.25">
      <c r="A34" s="17" t="s">
        <v>102</v>
      </c>
      <c r="B34" s="32">
        <f>17966.92</f>
        <v>17966.919999999998</v>
      </c>
    </row>
    <row r="35" spans="1:2" x14ac:dyDescent="0.25">
      <c r="A35" s="17" t="s">
        <v>103</v>
      </c>
      <c r="B35" s="32">
        <f>216931.23</f>
        <v>216931.23</v>
      </c>
    </row>
    <row r="36" spans="1:2" x14ac:dyDescent="0.25">
      <c r="A36" s="17" t="s">
        <v>104</v>
      </c>
      <c r="B36" s="33">
        <f>(((B32)+(B33))+(B34))+(B35)</f>
        <v>189103.72000000003</v>
      </c>
    </row>
    <row r="37" spans="1:2" x14ac:dyDescent="0.25">
      <c r="A37" s="17" t="s">
        <v>105</v>
      </c>
      <c r="B37" s="33">
        <f>(B30)+(B36)</f>
        <v>189103.72000000003</v>
      </c>
    </row>
    <row r="38" spans="1:2" x14ac:dyDescent="0.25">
      <c r="A38" s="17"/>
      <c r="B38" s="18"/>
    </row>
    <row r="41" spans="1:2" x14ac:dyDescent="0.25">
      <c r="A41" s="11" t="s">
        <v>47</v>
      </c>
      <c r="B41" s="12"/>
    </row>
  </sheetData>
  <mergeCells count="4">
    <mergeCell ref="A1:B1"/>
    <mergeCell ref="A2:B2"/>
    <mergeCell ref="A3:B3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</vt:lpstr>
      <vt:lpstr>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MYSL20C-PVS$</cp:lastModifiedBy>
  <dcterms:created xsi:type="dcterms:W3CDTF">2024-10-17T16:58:56Z</dcterms:created>
  <dcterms:modified xsi:type="dcterms:W3CDTF">2024-10-17T17:11:22Z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/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